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105" windowWidth="15480" windowHeight="11640" activeTab="2"/>
  </bookViews>
  <sheets>
    <sheet name="Enveloppes" sheetId="1" r:id="rId1"/>
    <sheet name="Comp Roche" sheetId="2" r:id="rId2"/>
    <sheet name="Compo noyau" sheetId="3" r:id="rId3"/>
    <sheet name="a" sheetId="4" r:id="rId4"/>
  </sheets>
  <definedNames/>
  <calcPr fullCalcOnLoad="1"/>
</workbook>
</file>

<file path=xl/sharedStrings.xml><?xml version="1.0" encoding="utf-8"?>
<sst xmlns="http://schemas.openxmlformats.org/spreadsheetml/2006/main" count="78" uniqueCount="54">
  <si>
    <t>Quartz</t>
  </si>
  <si>
    <t>plagioclase</t>
  </si>
  <si>
    <t>biotite</t>
  </si>
  <si>
    <t>pyroxène</t>
  </si>
  <si>
    <t>olivine</t>
  </si>
  <si>
    <t>O</t>
  </si>
  <si>
    <t>Si</t>
  </si>
  <si>
    <t>Ti</t>
  </si>
  <si>
    <t>Al</t>
  </si>
  <si>
    <t>Fe</t>
  </si>
  <si>
    <t>Mg</t>
  </si>
  <si>
    <t>Ca</t>
  </si>
  <si>
    <t>Na</t>
  </si>
  <si>
    <t>K</t>
  </si>
  <si>
    <t>S</t>
  </si>
  <si>
    <t>Ni</t>
  </si>
  <si>
    <t>SiO2</t>
  </si>
  <si>
    <t>KMg,Fe4Al3Si3 O12 F2</t>
  </si>
  <si>
    <t>SiO4Mg2Fe2</t>
  </si>
  <si>
    <t>Si2Al2O8CaNa</t>
  </si>
  <si>
    <t>Minéral</t>
  </si>
  <si>
    <t>Formule</t>
  </si>
  <si>
    <t>Masse</t>
  </si>
  <si>
    <t>F</t>
  </si>
  <si>
    <t>Si2O6CaMg</t>
  </si>
  <si>
    <t xml:space="preserve"> </t>
  </si>
  <si>
    <t>% massique par atome</t>
  </si>
  <si>
    <t>Calcul du volume et de la masse des différentes enveloppes de la planète</t>
  </si>
  <si>
    <t>Rayon en km de la plus grande sphère</t>
  </si>
  <si>
    <t>Volume en km3</t>
  </si>
  <si>
    <t>Densité</t>
  </si>
  <si>
    <t>% des différentes enveloppes</t>
  </si>
  <si>
    <t>Terre</t>
  </si>
  <si>
    <t>Croute</t>
  </si>
  <si>
    <t>Manteau</t>
  </si>
  <si>
    <t>Noyau</t>
  </si>
  <si>
    <t>somme</t>
  </si>
  <si>
    <t xml:space="preserve">Calcul de la composition du noyau </t>
  </si>
  <si>
    <t>(Terre = chondite C1, manteau = "pyrolite" de Ringwood)"</t>
  </si>
  <si>
    <t>Masse de la Terre 10exp21 kg</t>
  </si>
  <si>
    <t>% masse manteau</t>
  </si>
  <si>
    <t>Masse du manteau 10exp21 kg</t>
  </si>
  <si>
    <t>Masse dans manteau</t>
  </si>
  <si>
    <t>Masse dans le noyau</t>
  </si>
  <si>
    <t>Masse noyau 10exp21</t>
  </si>
  <si>
    <t>% masse noyau</t>
  </si>
  <si>
    <t>Somme</t>
  </si>
  <si>
    <t>% masse Terre (chondrites)</t>
  </si>
  <si>
    <t>Masse totale éléments Terre en Kg</t>
  </si>
  <si>
    <r>
      <t xml:space="preserve">V = 4/3 </t>
    </r>
    <r>
      <rPr>
        <b/>
        <sz val="14"/>
        <rFont val="Symbol"/>
        <family val="1"/>
      </rPr>
      <t>p</t>
    </r>
    <r>
      <rPr>
        <b/>
        <sz val="14"/>
        <rFont val="Times New Roman"/>
        <family val="1"/>
      </rPr>
      <t xml:space="preserve"> R</t>
    </r>
    <r>
      <rPr>
        <b/>
        <vertAlign val="superscript"/>
        <sz val="14"/>
        <rFont val="Times New Roman"/>
        <family val="1"/>
      </rPr>
      <t>3</t>
    </r>
  </si>
  <si>
    <t>% des minéraux (résultats mesurim)</t>
  </si>
  <si>
    <t>% réel</t>
  </si>
  <si>
    <t xml:space="preserve">% réel </t>
  </si>
  <si>
    <t>Masse en kg (*10 Exp21)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</si>
</sst>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1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4"/>
      <name val="Arial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20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0"/>
      <color indexed="61"/>
      <name val="Arial"/>
      <family val="0"/>
    </font>
    <font>
      <b/>
      <sz val="12"/>
      <color indexed="12"/>
      <name val="Arial"/>
      <family val="2"/>
    </font>
    <font>
      <sz val="12"/>
      <name val="Arial"/>
      <family val="0"/>
    </font>
    <font>
      <b/>
      <i/>
      <sz val="12"/>
      <color indexed="10"/>
      <name val="Arial"/>
      <family val="0"/>
    </font>
    <font>
      <b/>
      <i/>
      <sz val="12"/>
      <color indexed="62"/>
      <name val="Arial"/>
      <family val="0"/>
    </font>
    <font>
      <b/>
      <sz val="12"/>
      <color indexed="17"/>
      <name val="Arial"/>
      <family val="0"/>
    </font>
    <font>
      <b/>
      <sz val="12"/>
      <color indexed="62"/>
      <name val="Arial"/>
      <family val="0"/>
    </font>
    <font>
      <sz val="12"/>
      <color indexed="17"/>
      <name val="Arial"/>
      <family val="0"/>
    </font>
    <font>
      <sz val="12"/>
      <color indexed="62"/>
      <name val="Arial"/>
      <family val="0"/>
    </font>
    <font>
      <b/>
      <sz val="12"/>
      <color indexed="10"/>
      <name val="Arial"/>
      <family val="0"/>
    </font>
    <font>
      <b/>
      <sz val="14"/>
      <name val="Times New Roman"/>
      <family val="1"/>
    </font>
    <font>
      <b/>
      <sz val="14"/>
      <name val="Symbol"/>
      <family val="1"/>
    </font>
    <font>
      <b/>
      <vertAlign val="superscript"/>
      <sz val="14"/>
      <name val="Times New Roman"/>
      <family val="1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2" fontId="0" fillId="37" borderId="24" xfId="0" applyNumberFormat="1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7" borderId="11" xfId="0" applyNumberFormat="1" applyFill="1" applyBorder="1" applyAlignment="1">
      <alignment/>
    </xf>
    <xf numFmtId="2" fontId="0" fillId="37" borderId="12" xfId="0" applyNumberFormat="1" applyFill="1" applyBorder="1" applyAlignment="1">
      <alignment/>
    </xf>
    <xf numFmtId="2" fontId="3" fillId="34" borderId="26" xfId="0" applyNumberFormat="1" applyFont="1" applyFill="1" applyBorder="1" applyAlignment="1">
      <alignment horizontal="center"/>
    </xf>
    <xf numFmtId="0" fontId="8" fillId="38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11" fillId="33" borderId="18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11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/>
    </xf>
    <xf numFmtId="2" fontId="0" fillId="33" borderId="18" xfId="0" applyNumberFormat="1" applyFont="1" applyFill="1" applyBorder="1" applyAlignment="1">
      <alignment horizontal="center"/>
    </xf>
    <xf numFmtId="2" fontId="12" fillId="33" borderId="18" xfId="0" applyNumberFormat="1" applyFont="1" applyFill="1" applyBorder="1" applyAlignment="1">
      <alignment horizontal="center"/>
    </xf>
    <xf numFmtId="0" fontId="8" fillId="36" borderId="18" xfId="0" applyNumberFormat="1" applyFont="1" applyFill="1" applyBorder="1" applyAlignment="1">
      <alignment/>
    </xf>
    <xf numFmtId="0" fontId="10" fillId="37" borderId="18" xfId="0" applyNumberFormat="1" applyFont="1" applyFill="1" applyBorder="1" applyAlignment="1">
      <alignment horizontal="center" vertical="center" wrapText="1"/>
    </xf>
    <xf numFmtId="0" fontId="11" fillId="37" borderId="18" xfId="0" applyNumberFormat="1" applyFont="1" applyFill="1" applyBorder="1" applyAlignment="1">
      <alignment horizontal="center" vertical="center" wrapText="1"/>
    </xf>
    <xf numFmtId="0" fontId="14" fillId="39" borderId="0" xfId="0" applyNumberFormat="1" applyFont="1" applyFill="1" applyAlignment="1">
      <alignment/>
    </xf>
    <xf numFmtId="0" fontId="15" fillId="39" borderId="0" xfId="0" applyNumberFormat="1" applyFont="1" applyFill="1" applyAlignment="1">
      <alignment/>
    </xf>
    <xf numFmtId="0" fontId="14" fillId="40" borderId="0" xfId="0" applyNumberFormat="1" applyFont="1" applyFill="1" applyAlignment="1">
      <alignment/>
    </xf>
    <xf numFmtId="0" fontId="16" fillId="39" borderId="0" xfId="0" applyNumberFormat="1" applyFont="1" applyFill="1" applyAlignment="1">
      <alignment horizontal="left"/>
    </xf>
    <xf numFmtId="0" fontId="14" fillId="39" borderId="0" xfId="0" applyNumberFormat="1" applyFont="1" applyFill="1" applyAlignment="1">
      <alignment horizontal="center" wrapText="1"/>
    </xf>
    <xf numFmtId="0" fontId="13" fillId="39" borderId="0" xfId="0" applyNumberFormat="1" applyFont="1" applyFill="1" applyAlignment="1">
      <alignment horizontal="center" vertical="center" wrapText="1"/>
    </xf>
    <xf numFmtId="0" fontId="1" fillId="39" borderId="0" xfId="0" applyNumberFormat="1" applyFont="1" applyFill="1" applyAlignment="1">
      <alignment horizontal="center" vertical="center" wrapText="1"/>
    </xf>
    <xf numFmtId="0" fontId="17" fillId="39" borderId="0" xfId="0" applyNumberFormat="1" applyFont="1" applyFill="1" applyAlignment="1">
      <alignment horizontal="center" vertical="center" wrapText="1"/>
    </xf>
    <xf numFmtId="0" fontId="18" fillId="39" borderId="0" xfId="0" applyNumberFormat="1" applyFont="1" applyFill="1" applyAlignment="1">
      <alignment horizontal="center" vertical="center" wrapText="1"/>
    </xf>
    <xf numFmtId="0" fontId="19" fillId="39" borderId="0" xfId="0" applyNumberFormat="1" applyFont="1" applyFill="1" applyAlignment="1">
      <alignment/>
    </xf>
    <xf numFmtId="0" fontId="20" fillId="39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40" borderId="27" xfId="0" applyNumberFormat="1" applyFont="1" applyFill="1" applyBorder="1" applyAlignment="1">
      <alignment horizontal="center"/>
    </xf>
    <xf numFmtId="0" fontId="1" fillId="40" borderId="24" xfId="0" applyNumberFormat="1" applyFont="1" applyFill="1" applyBorder="1" applyAlignment="1">
      <alignment horizontal="center"/>
    </xf>
    <xf numFmtId="0" fontId="1" fillId="40" borderId="10" xfId="0" applyNumberFormat="1" applyFont="1" applyFill="1" applyBorder="1" applyAlignment="1">
      <alignment horizontal="center"/>
    </xf>
    <xf numFmtId="0" fontId="21" fillId="36" borderId="18" xfId="0" applyNumberFormat="1" applyFont="1" applyFill="1" applyBorder="1" applyAlignment="1">
      <alignment horizontal="center"/>
    </xf>
    <xf numFmtId="0" fontId="13" fillId="36" borderId="18" xfId="0" applyNumberFormat="1" applyFont="1" applyFill="1" applyBorder="1" applyAlignment="1">
      <alignment horizontal="center"/>
    </xf>
    <xf numFmtId="0" fontId="18" fillId="36" borderId="18" xfId="0" applyNumberFormat="1" applyFont="1" applyFill="1" applyBorder="1" applyAlignment="1">
      <alignment horizontal="center"/>
    </xf>
    <xf numFmtId="0" fontId="1" fillId="36" borderId="18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22" fillId="0" borderId="0" xfId="0" applyFont="1" applyAlignment="1">
      <alignment horizontal="center"/>
    </xf>
    <xf numFmtId="2" fontId="4" fillId="37" borderId="18" xfId="0" applyNumberFormat="1" applyFont="1" applyFill="1" applyBorder="1" applyAlignment="1">
      <alignment horizontal="center"/>
    </xf>
    <xf numFmtId="2" fontId="4" fillId="37" borderId="28" xfId="0" applyNumberFormat="1" applyFont="1" applyFill="1" applyBorder="1" applyAlignment="1">
      <alignment horizontal="center"/>
    </xf>
    <xf numFmtId="2" fontId="13" fillId="37" borderId="28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 applyProtection="1">
      <alignment horizontal="center"/>
      <protection locked="0"/>
    </xf>
    <xf numFmtId="2" fontId="0" fillId="33" borderId="18" xfId="0" applyNumberFormat="1" applyFont="1" applyFill="1" applyBorder="1" applyAlignment="1" applyProtection="1">
      <alignment horizontal="center"/>
      <protection locked="0"/>
    </xf>
    <xf numFmtId="2" fontId="12" fillId="33" borderId="18" xfId="0" applyNumberFormat="1" applyFont="1" applyFill="1" applyBorder="1" applyAlignment="1" applyProtection="1">
      <alignment/>
      <protection locked="0"/>
    </xf>
    <xf numFmtId="2" fontId="3" fillId="33" borderId="18" xfId="0" applyNumberFormat="1" applyFont="1" applyFill="1" applyBorder="1" applyAlignment="1" applyProtection="1">
      <alignment/>
      <protection locked="0"/>
    </xf>
    <xf numFmtId="2" fontId="18" fillId="35" borderId="29" xfId="0" applyNumberFormat="1" applyFont="1" applyFill="1" applyBorder="1" applyAlignment="1">
      <alignment horizontal="center"/>
    </xf>
    <xf numFmtId="2" fontId="18" fillId="35" borderId="18" xfId="0" applyNumberFormat="1" applyFont="1" applyFill="1" applyBorder="1" applyAlignment="1">
      <alignment horizontal="center"/>
    </xf>
    <xf numFmtId="2" fontId="18" fillId="35" borderId="11" xfId="0" applyNumberFormat="1" applyFont="1" applyFill="1" applyBorder="1" applyAlignment="1">
      <alignment horizontal="center"/>
    </xf>
    <xf numFmtId="2" fontId="1" fillId="35" borderId="29" xfId="0" applyNumberFormat="1" applyFont="1" applyFill="1" applyBorder="1" applyAlignment="1">
      <alignment horizontal="center"/>
    </xf>
    <xf numFmtId="2" fontId="17" fillId="35" borderId="29" xfId="0" applyNumberFormat="1" applyFont="1" applyFill="1" applyBorder="1" applyAlignment="1">
      <alignment horizontal="center"/>
    </xf>
    <xf numFmtId="2" fontId="1" fillId="35" borderId="18" xfId="0" applyNumberFormat="1" applyFont="1" applyFill="1" applyBorder="1" applyAlignment="1">
      <alignment horizontal="center"/>
    </xf>
    <xf numFmtId="2" fontId="17" fillId="35" borderId="18" xfId="0" applyNumberFormat="1" applyFont="1" applyFill="1" applyBorder="1" applyAlignment="1">
      <alignment horizontal="center"/>
    </xf>
    <xf numFmtId="2" fontId="1" fillId="35" borderId="25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7" fillId="35" borderId="11" xfId="0" applyNumberFormat="1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/>
    </xf>
    <xf numFmtId="0" fontId="7" fillId="41" borderId="33" xfId="0" applyFont="1" applyFill="1" applyBorder="1" applyAlignment="1">
      <alignment horizontal="center" vertical="center"/>
    </xf>
    <xf numFmtId="0" fontId="7" fillId="41" borderId="34" xfId="0" applyFont="1" applyFill="1" applyBorder="1" applyAlignment="1">
      <alignment horizontal="center"/>
    </xf>
    <xf numFmtId="0" fontId="7" fillId="41" borderId="35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/>
    </xf>
    <xf numFmtId="2" fontId="3" fillId="35" borderId="25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21" fillId="35" borderId="25" xfId="0" applyNumberFormat="1" applyFont="1" applyFill="1" applyBorder="1" applyAlignment="1">
      <alignment horizontal="center"/>
    </xf>
    <xf numFmtId="2" fontId="21" fillId="35" borderId="12" xfId="0" applyNumberFormat="1" applyFont="1" applyFill="1" applyBorder="1" applyAlignment="1">
      <alignment horizontal="center"/>
    </xf>
    <xf numFmtId="2" fontId="21" fillId="35" borderId="32" xfId="0" applyNumberFormat="1" applyFont="1" applyFill="1" applyBorder="1" applyAlignment="1">
      <alignment horizontal="center"/>
    </xf>
    <xf numFmtId="2" fontId="17" fillId="35" borderId="25" xfId="0" applyNumberFormat="1" applyFont="1" applyFill="1" applyBorder="1" applyAlignment="1">
      <alignment horizontal="center"/>
    </xf>
    <xf numFmtId="2" fontId="17" fillId="36" borderId="18" xfId="0" applyNumberFormat="1" applyFont="1" applyFill="1" applyBorder="1" applyAlignment="1">
      <alignment horizontal="center"/>
    </xf>
    <xf numFmtId="2" fontId="25" fillId="36" borderId="18" xfId="0" applyNumberFormat="1" applyFont="1" applyFill="1" applyBorder="1" applyAlignment="1">
      <alignment horizontal="center"/>
    </xf>
    <xf numFmtId="0" fontId="9" fillId="42" borderId="36" xfId="0" applyNumberFormat="1" applyFon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38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9</xdr:row>
      <xdr:rowOff>114300</xdr:rowOff>
    </xdr:from>
    <xdr:to>
      <xdr:col>8</xdr:col>
      <xdr:colOff>257175</xdr:colOff>
      <xdr:row>37</xdr:row>
      <xdr:rowOff>76200</xdr:rowOff>
    </xdr:to>
    <xdr:grpSp>
      <xdr:nvGrpSpPr>
        <xdr:cNvPr id="1" name="Group 8"/>
        <xdr:cNvGrpSpPr>
          <a:grpSpLocks/>
        </xdr:cNvGrpSpPr>
      </xdr:nvGrpSpPr>
      <xdr:grpSpPr>
        <a:xfrm>
          <a:off x="2076450" y="1990725"/>
          <a:ext cx="6886575" cy="4619625"/>
          <a:chOff x="218" y="209"/>
          <a:chExt cx="625" cy="484"/>
        </a:xfrm>
        <a:solidFill>
          <a:srgbClr val="FFFFFF"/>
        </a:solidFill>
      </xdr:grpSpPr>
      <xdr:pic>
        <xdr:nvPicPr>
          <xdr:cNvPr id="2" name="Picture 1" descr="structur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8" y="232"/>
            <a:ext cx="564" cy="4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"/>
          <xdr:cNvSpPr>
            <a:spLocks/>
          </xdr:cNvSpPr>
        </xdr:nvSpPr>
        <xdr:spPr>
          <a:xfrm>
            <a:off x="488" y="664"/>
            <a:ext cx="3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6371</a:t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436" y="587"/>
            <a:ext cx="5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233" y="265"/>
            <a:ext cx="141" cy="17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645" y="292"/>
            <a:ext cx="198" cy="3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6"/>
          <xdr:cNvSpPr>
            <a:spLocks/>
          </xdr:cNvSpPr>
        </xdr:nvSpPr>
        <xdr:spPr>
          <a:xfrm>
            <a:off x="621" y="222"/>
            <a:ext cx="135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7"/>
          <xdr:cNvSpPr>
            <a:spLocks/>
          </xdr:cNvSpPr>
        </xdr:nvSpPr>
        <xdr:spPr>
          <a:xfrm>
            <a:off x="624" y="209"/>
            <a:ext cx="145" cy="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 considèrera une moyenne de 10 km d'épaisseur pour la lithosphère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2">
      <selection activeCell="D9" sqref="D9"/>
    </sheetView>
  </sheetViews>
  <sheetFormatPr defaultColWidth="14.57421875" defaultRowHeight="12.75"/>
  <cols>
    <col min="1" max="2" width="14.57421875" style="1" customWidth="1"/>
    <col min="3" max="3" width="19.00390625" style="1" customWidth="1"/>
    <col min="4" max="4" width="14.57421875" style="1" customWidth="1"/>
    <col min="5" max="5" width="24.140625" style="1" customWidth="1"/>
    <col min="6" max="16384" width="14.57421875" style="1" customWidth="1"/>
  </cols>
  <sheetData>
    <row r="1" spans="1:6" ht="13.5" thickBot="1">
      <c r="A1" s="27"/>
      <c r="B1" s="27"/>
      <c r="C1" s="29"/>
      <c r="D1" s="29"/>
      <c r="E1" s="29"/>
      <c r="F1" s="29"/>
    </row>
    <row r="2" spans="1:6" ht="13.5" thickBot="1">
      <c r="A2" s="27"/>
      <c r="B2" s="104" t="s">
        <v>27</v>
      </c>
      <c r="C2" s="105"/>
      <c r="D2" s="105"/>
      <c r="E2" s="105"/>
      <c r="F2" s="106"/>
    </row>
    <row r="3" spans="1:6" ht="12.75">
      <c r="A3" s="27"/>
      <c r="B3" s="27"/>
      <c r="C3" s="29"/>
      <c r="D3" s="29"/>
      <c r="E3" s="29"/>
      <c r="F3" s="29"/>
    </row>
    <row r="4" spans="1:6" ht="38.25">
      <c r="A4" s="28"/>
      <c r="B4" s="39" t="s">
        <v>28</v>
      </c>
      <c r="C4" s="30" t="s">
        <v>29</v>
      </c>
      <c r="D4" s="40" t="s">
        <v>30</v>
      </c>
      <c r="E4" s="30" t="s">
        <v>53</v>
      </c>
      <c r="F4" s="30" t="s">
        <v>31</v>
      </c>
    </row>
    <row r="5" spans="1:6" ht="12.75">
      <c r="A5" s="28"/>
      <c r="B5" s="28"/>
      <c r="C5" s="31"/>
      <c r="D5" s="31"/>
      <c r="E5" s="31"/>
      <c r="F5" s="31"/>
    </row>
    <row r="6" spans="1:6" ht="12.75">
      <c r="A6" s="38" t="s">
        <v>32</v>
      </c>
      <c r="B6" s="65">
        <v>6371</v>
      </c>
      <c r="C6" s="69">
        <f>4/3*PI()*B6^3</f>
        <v>1083206916845.7535</v>
      </c>
      <c r="D6" s="66">
        <v>5.514</v>
      </c>
      <c r="E6" s="70">
        <f>C6*D6*1000*1000*1000*10*10*10/1E+21</f>
        <v>5972.802939487484</v>
      </c>
      <c r="F6" s="36"/>
    </row>
    <row r="7" spans="1:6" ht="15.75">
      <c r="A7" s="38" t="s">
        <v>33</v>
      </c>
      <c r="B7" s="65">
        <v>6371</v>
      </c>
      <c r="C7" s="69">
        <f>C6-4/3*PI()*B8^3</f>
        <v>5092642873.169678</v>
      </c>
      <c r="D7" s="67">
        <v>2.1</v>
      </c>
      <c r="E7" s="70">
        <f>C7*D7*1000*1000*1000*10*10*10/1E+21</f>
        <v>10.694550033656324</v>
      </c>
      <c r="F7" s="37">
        <f>E7/E6*100</f>
        <v>0.1790541248724674</v>
      </c>
    </row>
    <row r="8" spans="1:6" ht="15.75">
      <c r="A8" s="38" t="s">
        <v>34</v>
      </c>
      <c r="B8" s="65">
        <v>6361</v>
      </c>
      <c r="C8" s="69">
        <f>4/3*PI()*B8^3-4/3*PI()*B9^3</f>
        <v>902947210151.6194</v>
      </c>
      <c r="D8" s="67">
        <v>4.5</v>
      </c>
      <c r="E8" s="70">
        <f>C8*D8*1000*1000*1000*10*10*10/1E+21</f>
        <v>4063.2624456822864</v>
      </c>
      <c r="F8" s="37">
        <f>E8/E6*100</f>
        <v>68.0294074130453</v>
      </c>
    </row>
    <row r="9" spans="1:6" ht="12.75">
      <c r="A9" s="38" t="s">
        <v>35</v>
      </c>
      <c r="B9" s="65">
        <f>6371-2900</f>
        <v>3471</v>
      </c>
      <c r="C9" s="69">
        <f>4/3*PI()*B9^3</f>
        <v>175167063820.96445</v>
      </c>
      <c r="D9" s="68">
        <f>E9/C9*1000000000</f>
        <v>10.840199649132227</v>
      </c>
      <c r="E9" s="71">
        <f>E6-E7-E8</f>
        <v>1898.8459437715414</v>
      </c>
      <c r="F9" s="37">
        <f>E9/E6*100</f>
        <v>31.79153846208223</v>
      </c>
    </row>
    <row r="10" spans="1:6" ht="12.75">
      <c r="A10" s="31"/>
      <c r="B10" s="31"/>
      <c r="C10" s="32"/>
      <c r="D10" s="31"/>
      <c r="E10" s="31"/>
      <c r="F10" s="31"/>
    </row>
    <row r="11" spans="1:6" ht="12.75">
      <c r="A11" s="33" t="s">
        <v>36</v>
      </c>
      <c r="B11" s="31"/>
      <c r="C11" s="34">
        <f>SUM(C7:C9)</f>
        <v>1083206916845.7535</v>
      </c>
      <c r="D11" s="31"/>
      <c r="E11" s="35" t="s">
        <v>25</v>
      </c>
      <c r="F11" s="35"/>
    </row>
    <row r="12" ht="12.75"/>
    <row r="13" ht="12.75"/>
    <row r="14" ht="12.75"/>
    <row r="15" ht="12.75"/>
    <row r="16" ht="12.75"/>
    <row r="17" ht="12.75"/>
    <row r="18" ht="22.5">
      <c r="B18" s="64" t="s">
        <v>49</v>
      </c>
    </row>
    <row r="19" ht="12.75"/>
    <row r="20" ht="12.75"/>
    <row r="21" ht="12.75">
      <c r="D21"/>
    </row>
  </sheetData>
  <sheetProtection/>
  <mergeCells count="1">
    <mergeCell ref="B2:F2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8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26.421875" style="1" customWidth="1"/>
    <col min="2" max="2" width="12.57421875" style="1" customWidth="1"/>
    <col min="3" max="3" width="11.421875" style="1" customWidth="1"/>
    <col min="4" max="4" width="11.421875" style="1" bestFit="1" customWidth="1"/>
    <col min="5" max="5" width="21.57421875" style="1" bestFit="1" customWidth="1"/>
    <col min="6" max="6" width="6.57421875" style="1" bestFit="1" customWidth="1"/>
    <col min="7" max="8" width="5.57421875" style="1" bestFit="1" customWidth="1"/>
    <col min="9" max="9" width="4.57421875" style="1" bestFit="1" customWidth="1"/>
    <col min="10" max="10" width="5.57421875" style="1" bestFit="1" customWidth="1"/>
    <col min="11" max="11" width="6.421875" style="1" customWidth="1"/>
    <col min="12" max="12" width="5.421875" style="1" customWidth="1"/>
    <col min="13" max="13" width="5.57421875" style="1" bestFit="1" customWidth="1"/>
    <col min="14" max="18" width="4.57421875" style="1" bestFit="1" customWidth="1"/>
    <col min="19" max="16384" width="11.421875" style="1" customWidth="1"/>
  </cols>
  <sheetData>
    <row r="1" ht="27.75" customHeight="1" thickBot="1"/>
    <row r="2" spans="7:18" ht="18" customHeight="1" thickBot="1">
      <c r="G2" s="17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8" t="s">
        <v>13</v>
      </c>
      <c r="P2" s="18" t="s">
        <v>14</v>
      </c>
      <c r="Q2" s="18" t="s">
        <v>15</v>
      </c>
      <c r="R2" s="19" t="s">
        <v>23</v>
      </c>
    </row>
    <row r="3" spans="1:18" s="2" customFormat="1" ht="25.5">
      <c r="A3" s="82" t="s">
        <v>50</v>
      </c>
      <c r="B3" s="92" t="s">
        <v>51</v>
      </c>
      <c r="C3" s="93" t="s">
        <v>52</v>
      </c>
      <c r="D3" s="89" t="s">
        <v>20</v>
      </c>
      <c r="E3" s="83" t="s">
        <v>21</v>
      </c>
      <c r="F3" s="84" t="s">
        <v>22</v>
      </c>
      <c r="G3" s="85">
        <v>16</v>
      </c>
      <c r="H3" s="86">
        <v>28</v>
      </c>
      <c r="I3" s="86">
        <v>48</v>
      </c>
      <c r="J3" s="86">
        <v>27</v>
      </c>
      <c r="K3" s="86">
        <v>56</v>
      </c>
      <c r="L3" s="86">
        <v>24</v>
      </c>
      <c r="M3" s="86">
        <v>40</v>
      </c>
      <c r="N3" s="86">
        <v>23</v>
      </c>
      <c r="O3" s="86">
        <v>39</v>
      </c>
      <c r="P3" s="86">
        <v>32</v>
      </c>
      <c r="Q3" s="86">
        <v>59</v>
      </c>
      <c r="R3" s="87">
        <v>19</v>
      </c>
    </row>
    <row r="4" spans="1:18" ht="12.75">
      <c r="A4" s="11">
        <v>0</v>
      </c>
      <c r="B4" s="94">
        <f>(SQRT(A4/100))^3*100</f>
        <v>0</v>
      </c>
      <c r="C4" s="95">
        <f>IF(B4=0,0,B4*100/$B$9)</f>
        <v>0</v>
      </c>
      <c r="D4" s="90" t="s">
        <v>0</v>
      </c>
      <c r="E4" s="13" t="s">
        <v>16</v>
      </c>
      <c r="F4" s="14">
        <f>28+2*16</f>
        <v>60</v>
      </c>
      <c r="G4" s="20">
        <f>2*G3/F4*C4</f>
        <v>0</v>
      </c>
      <c r="H4" s="21">
        <f>H3/F4*C4</f>
        <v>0</v>
      </c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ht="12.75">
      <c r="A5" s="11">
        <v>0</v>
      </c>
      <c r="B5" s="94">
        <v>0</v>
      </c>
      <c r="C5" s="95">
        <f>IF(B5=0,0,B5*100/$B$9)</f>
        <v>0</v>
      </c>
      <c r="D5" s="90" t="s">
        <v>1</v>
      </c>
      <c r="E5" s="13" t="s">
        <v>19</v>
      </c>
      <c r="F5" s="14">
        <f>2*28+2*27+16*8+40+23</f>
        <v>301</v>
      </c>
      <c r="G5" s="20">
        <f>8*G3/F5*C5</f>
        <v>0</v>
      </c>
      <c r="H5" s="21">
        <f>2*H3/F5*C5</f>
        <v>0</v>
      </c>
      <c r="I5" s="21"/>
      <c r="J5" s="21">
        <f>2*J3/F5*C5</f>
        <v>0</v>
      </c>
      <c r="K5" s="21"/>
      <c r="L5" s="21"/>
      <c r="M5" s="21">
        <f>M3/F5*C5</f>
        <v>0</v>
      </c>
      <c r="N5" s="21">
        <f>N3/F5*C5</f>
        <v>0</v>
      </c>
      <c r="O5" s="21"/>
      <c r="P5" s="21"/>
      <c r="Q5" s="21"/>
      <c r="R5" s="22"/>
    </row>
    <row r="6" spans="1:18" ht="12.75">
      <c r="A6" s="11">
        <v>0</v>
      </c>
      <c r="B6" s="94">
        <f>(SQRT(A6/100))^3*100</f>
        <v>0</v>
      </c>
      <c r="C6" s="95">
        <f>IF(B6=0,0,B6*100/$B$9)</f>
        <v>0</v>
      </c>
      <c r="D6" s="90" t="s">
        <v>2</v>
      </c>
      <c r="E6" s="13" t="s">
        <v>17</v>
      </c>
      <c r="F6" s="14">
        <f>39+24+56*4+27*3+28*3+12*16+19*2</f>
        <v>682</v>
      </c>
      <c r="G6" s="20">
        <f>12*G3/F6*C6</f>
        <v>0</v>
      </c>
      <c r="H6" s="21">
        <f>3*H3/F6*C6</f>
        <v>0</v>
      </c>
      <c r="I6" s="21"/>
      <c r="J6" s="21">
        <f>3*J3/F6*C6</f>
        <v>0</v>
      </c>
      <c r="K6" s="21">
        <f>4*K3/F6*C6</f>
        <v>0</v>
      </c>
      <c r="L6" s="21">
        <f>L3/F6*C6</f>
        <v>0</v>
      </c>
      <c r="M6" s="21"/>
      <c r="N6" s="21"/>
      <c r="O6" s="21">
        <f>O3/F6*C6</f>
        <v>0</v>
      </c>
      <c r="P6" s="21"/>
      <c r="Q6" s="21"/>
      <c r="R6" s="22">
        <f>2*R3/F6*C6</f>
        <v>0</v>
      </c>
    </row>
    <row r="7" spans="1:18" ht="12.75">
      <c r="A7" s="11">
        <v>40</v>
      </c>
      <c r="B7" s="94">
        <f>(SQRT(A7/100))^3*100</f>
        <v>25.29822128134704</v>
      </c>
      <c r="C7" s="95">
        <f>IF(B7=0,0,B7*100/$B$9)</f>
        <v>35.24704450894247</v>
      </c>
      <c r="D7" s="90" t="s">
        <v>3</v>
      </c>
      <c r="E7" s="13" t="s">
        <v>24</v>
      </c>
      <c r="F7" s="14">
        <f>28*2+16*6+40+24</f>
        <v>216</v>
      </c>
      <c r="G7" s="20">
        <f>6*G3/F7*C7</f>
        <v>15.665353115085543</v>
      </c>
      <c r="H7" s="21">
        <f>2*H3/F7*C7</f>
        <v>9.138122650466567</v>
      </c>
      <c r="I7" s="21"/>
      <c r="J7" s="21" t="s">
        <v>25</v>
      </c>
      <c r="K7" s="21"/>
      <c r="L7" s="21">
        <f>L3/F7*C7</f>
        <v>3.9163382787713856</v>
      </c>
      <c r="M7" s="21">
        <f>M3/F7*C7</f>
        <v>6.5272304646189765</v>
      </c>
      <c r="N7" s="21"/>
      <c r="O7" s="21"/>
      <c r="P7" s="21"/>
      <c r="Q7" s="21"/>
      <c r="R7" s="22"/>
    </row>
    <row r="8" spans="1:18" ht="13.5" thickBot="1">
      <c r="A8" s="12">
        <v>60</v>
      </c>
      <c r="B8" s="94">
        <f>(SQRT(A8/100))^3*100</f>
        <v>46.47580015448901</v>
      </c>
      <c r="C8" s="95">
        <f>IF(B8=0,0,B8*100/$B$9)</f>
        <v>64.75295549105753</v>
      </c>
      <c r="D8" s="91" t="s">
        <v>4</v>
      </c>
      <c r="E8" s="15" t="s">
        <v>18</v>
      </c>
      <c r="F8" s="16">
        <f>28+16*4+24+24+56*2</f>
        <v>252</v>
      </c>
      <c r="G8" s="23">
        <f>4*G3/F8*C8</f>
        <v>16.445195045347944</v>
      </c>
      <c r="H8" s="24">
        <f>H3/F8*C8</f>
        <v>7.1947728323397255</v>
      </c>
      <c r="I8" s="24"/>
      <c r="J8" s="24"/>
      <c r="K8" s="24">
        <f>2*K3/F8*C8</f>
        <v>28.779091329358902</v>
      </c>
      <c r="L8" s="24">
        <f>L3/F8*2*C8</f>
        <v>12.333896284010958</v>
      </c>
      <c r="M8" s="24"/>
      <c r="N8" s="24"/>
      <c r="O8" s="24"/>
      <c r="P8" s="24"/>
      <c r="Q8" s="24"/>
      <c r="R8" s="25"/>
    </row>
    <row r="9" spans="2:18" ht="13.5" thickBot="1">
      <c r="B9" s="96">
        <f>SUM(B4:B8)</f>
        <v>71.77402143583605</v>
      </c>
      <c r="C9" s="97">
        <f>SUM(C4:C8)</f>
        <v>100</v>
      </c>
      <c r="G9" s="8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12</v>
      </c>
      <c r="O9" s="9" t="s">
        <v>13</v>
      </c>
      <c r="P9" s="9" t="s">
        <v>14</v>
      </c>
      <c r="Q9" s="9" t="s">
        <v>15</v>
      </c>
      <c r="R9" s="10" t="s">
        <v>23</v>
      </c>
    </row>
    <row r="10" spans="1:18" s="3" customFormat="1" ht="13.5" thickBot="1">
      <c r="A10" s="26" t="s">
        <v>26</v>
      </c>
      <c r="B10" s="88"/>
      <c r="C10" s="88"/>
      <c r="G10" s="5">
        <f>SUM(G4:G8)</f>
        <v>32.11054816043349</v>
      </c>
      <c r="H10" s="6">
        <f aca="true" t="shared" si="0" ref="H10:R10">SUM(H4:H8)</f>
        <v>16.332895482806293</v>
      </c>
      <c r="I10" s="6">
        <f t="shared" si="0"/>
        <v>0</v>
      </c>
      <c r="J10" s="6">
        <f t="shared" si="0"/>
        <v>0</v>
      </c>
      <c r="K10" s="6">
        <f t="shared" si="0"/>
        <v>28.779091329358902</v>
      </c>
      <c r="L10" s="6">
        <f t="shared" si="0"/>
        <v>16.250234562782342</v>
      </c>
      <c r="M10" s="6">
        <f t="shared" si="0"/>
        <v>6.5272304646189765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7">
        <f t="shared" si="0"/>
        <v>0</v>
      </c>
    </row>
    <row r="18" spans="1:3" ht="15.75">
      <c r="A18" s="4"/>
      <c r="B18" s="4"/>
      <c r="C18" s="4"/>
    </row>
    <row r="19" spans="1:3" ht="15.75">
      <c r="A19" s="4"/>
      <c r="B19" s="4"/>
      <c r="C19" s="4"/>
    </row>
    <row r="20" spans="1:3" ht="15.75">
      <c r="A20" s="4"/>
      <c r="B20" s="4"/>
      <c r="C20" s="4"/>
    </row>
    <row r="21" spans="1:3" ht="15.75">
      <c r="A21" s="4"/>
      <c r="B21" s="4"/>
      <c r="C21" s="4"/>
    </row>
    <row r="22" spans="1:3" ht="15.75">
      <c r="A22" s="4"/>
      <c r="B22" s="4"/>
      <c r="C22" s="4"/>
    </row>
    <row r="23" spans="1:3" ht="15.75">
      <c r="A23" s="4"/>
      <c r="B23" s="4"/>
      <c r="C23" s="4"/>
    </row>
    <row r="24" spans="1:3" ht="15.75">
      <c r="A24" s="4"/>
      <c r="B24" s="4"/>
      <c r="C24" s="4"/>
    </row>
    <row r="25" spans="1:3" ht="15.75">
      <c r="A25" s="4"/>
      <c r="B25" s="4"/>
      <c r="C25" s="4"/>
    </row>
    <row r="26" spans="1:3" ht="15.75">
      <c r="A26" s="4"/>
      <c r="B26" s="4"/>
      <c r="C26" s="4"/>
    </row>
    <row r="27" spans="1:3" ht="15.75">
      <c r="A27" s="4"/>
      <c r="B27" s="4"/>
      <c r="C27" s="4"/>
    </row>
    <row r="28" spans="1:3" ht="15.75">
      <c r="A28" s="4"/>
      <c r="B28" s="4"/>
      <c r="C28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2" max="2" width="17.8515625" style="0" customWidth="1"/>
    <col min="4" max="4" width="12.140625" style="0" bestFit="1" customWidth="1"/>
    <col min="8" max="8" width="13.140625" style="0" customWidth="1"/>
  </cols>
  <sheetData>
    <row r="1" spans="1:10" ht="15">
      <c r="A1" s="41"/>
      <c r="B1" s="42" t="s">
        <v>37</v>
      </c>
      <c r="C1" s="41"/>
      <c r="D1" s="41"/>
      <c r="E1" s="44" t="s">
        <v>38</v>
      </c>
      <c r="F1" s="63"/>
      <c r="G1" s="41"/>
      <c r="H1" s="41"/>
      <c r="I1" s="41"/>
      <c r="J1" s="41"/>
    </row>
    <row r="2" spans="1:10" ht="15">
      <c r="A2" s="41"/>
      <c r="B2" s="42"/>
      <c r="C2" s="41"/>
      <c r="D2" s="41"/>
      <c r="E2" s="43"/>
      <c r="F2" s="44"/>
      <c r="G2" s="41"/>
      <c r="H2" s="41"/>
      <c r="I2" s="41"/>
      <c r="J2" s="41"/>
    </row>
    <row r="3" spans="1:10" ht="78.75">
      <c r="A3" s="45"/>
      <c r="B3" s="46" t="s">
        <v>47</v>
      </c>
      <c r="C3" s="47" t="s">
        <v>39</v>
      </c>
      <c r="D3" s="48" t="s">
        <v>48</v>
      </c>
      <c r="E3" s="49" t="s">
        <v>40</v>
      </c>
      <c r="F3" s="47" t="s">
        <v>41</v>
      </c>
      <c r="G3" s="48" t="s">
        <v>42</v>
      </c>
      <c r="H3" s="47" t="s">
        <v>43</v>
      </c>
      <c r="I3" s="47" t="s">
        <v>44</v>
      </c>
      <c r="J3" s="47" t="s">
        <v>45</v>
      </c>
    </row>
    <row r="4" spans="1:10" ht="15.75" thickBot="1">
      <c r="A4" s="41"/>
      <c r="B4" s="41"/>
      <c r="C4" s="41"/>
      <c r="D4" s="50"/>
      <c r="E4" s="51"/>
      <c r="F4" s="41"/>
      <c r="G4" s="41"/>
      <c r="H4" s="41"/>
      <c r="I4" s="41"/>
      <c r="J4" s="41"/>
    </row>
    <row r="5" spans="1:10" ht="16.5" thickBot="1">
      <c r="A5" s="56" t="s">
        <v>5</v>
      </c>
      <c r="B5" s="72">
        <v>34.21</v>
      </c>
      <c r="C5" s="75">
        <f>Enveloppes!E6</f>
        <v>5972.802939487484</v>
      </c>
      <c r="D5" s="76">
        <f>C5*B5/100</f>
        <v>2043.2958855986683</v>
      </c>
      <c r="E5" s="72">
        <f>'Comp Roche'!G10</f>
        <v>32.11054816043349</v>
      </c>
      <c r="F5" s="75">
        <f>Enveloppes!E8</f>
        <v>4063.2624456822864</v>
      </c>
      <c r="G5" s="76">
        <f aca="true" t="shared" si="0" ref="G5:G15">F5*E5/100</f>
        <v>1304.7358445056182</v>
      </c>
      <c r="H5" s="75">
        <f aca="true" t="shared" si="1" ref="H5:H15">D5-G5</f>
        <v>738.5600410930501</v>
      </c>
      <c r="I5" s="75">
        <f>Enveloppes!E9</f>
        <v>1898.8459437715414</v>
      </c>
      <c r="J5" s="100">
        <f aca="true" t="shared" si="2" ref="J5:J15">H5/I5*100</f>
        <v>38.8952059810656</v>
      </c>
    </row>
    <row r="6" spans="1:10" ht="16.5" thickBot="1">
      <c r="A6" s="57" t="s">
        <v>6</v>
      </c>
      <c r="B6" s="73">
        <v>17.85</v>
      </c>
      <c r="C6" s="77">
        <f aca="true" t="shared" si="3" ref="C6:C15">C5</f>
        <v>5972.802939487484</v>
      </c>
      <c r="D6" s="76">
        <f aca="true" t="shared" si="4" ref="D6:D15">C6*B6/100</f>
        <v>1066.1453246985159</v>
      </c>
      <c r="E6" s="73">
        <f>'Comp Roche'!H10</f>
        <v>16.332895482806293</v>
      </c>
      <c r="F6" s="77">
        <f>F5</f>
        <v>4063.2624456822864</v>
      </c>
      <c r="G6" s="78">
        <f t="shared" si="0"/>
        <v>663.6484084454066</v>
      </c>
      <c r="H6" s="77">
        <f t="shared" si="1"/>
        <v>402.49691625310925</v>
      </c>
      <c r="I6" s="77">
        <f>I5</f>
        <v>1898.8459437715414</v>
      </c>
      <c r="J6" s="79">
        <f t="shared" si="2"/>
        <v>21.196923192918877</v>
      </c>
    </row>
    <row r="7" spans="1:10" ht="16.5" thickBot="1">
      <c r="A7" s="57" t="s">
        <v>7</v>
      </c>
      <c r="B7" s="73">
        <v>0.1</v>
      </c>
      <c r="C7" s="77">
        <f t="shared" si="3"/>
        <v>5972.802939487484</v>
      </c>
      <c r="D7" s="76">
        <f t="shared" si="4"/>
        <v>5.972802939487484</v>
      </c>
      <c r="E7" s="73">
        <f>'Comp Roche'!I10</f>
        <v>0</v>
      </c>
      <c r="F7" s="77">
        <f aca="true" t="shared" si="5" ref="F7:F15">F6</f>
        <v>4063.2624456822864</v>
      </c>
      <c r="G7" s="78">
        <f t="shared" si="0"/>
        <v>0</v>
      </c>
      <c r="H7" s="77">
        <f t="shared" si="1"/>
        <v>5.972802939487484</v>
      </c>
      <c r="I7" s="77">
        <f aca="true" t="shared" si="6" ref="I7:I15">I6</f>
        <v>1898.8459437715414</v>
      </c>
      <c r="J7" s="79">
        <f t="shared" si="2"/>
        <v>0.31454910594927643</v>
      </c>
    </row>
    <row r="8" spans="1:10" ht="16.5" thickBot="1">
      <c r="A8" s="57" t="s">
        <v>8</v>
      </c>
      <c r="B8" s="73">
        <v>2.48</v>
      </c>
      <c r="C8" s="77">
        <f t="shared" si="3"/>
        <v>5972.802939487484</v>
      </c>
      <c r="D8" s="76">
        <f t="shared" si="4"/>
        <v>148.12551289928962</v>
      </c>
      <c r="E8" s="73">
        <f>'Comp Roche'!J10</f>
        <v>0</v>
      </c>
      <c r="F8" s="77">
        <f t="shared" si="5"/>
        <v>4063.2624456822864</v>
      </c>
      <c r="G8" s="78">
        <f t="shared" si="0"/>
        <v>0</v>
      </c>
      <c r="H8" s="77">
        <f t="shared" si="1"/>
        <v>148.12551289928962</v>
      </c>
      <c r="I8" s="77">
        <f t="shared" si="6"/>
        <v>1898.8459437715414</v>
      </c>
      <c r="J8" s="98">
        <f t="shared" si="2"/>
        <v>7.800817827542056</v>
      </c>
    </row>
    <row r="9" spans="1:10" ht="16.5" thickBot="1">
      <c r="A9" s="57" t="s">
        <v>9</v>
      </c>
      <c r="B9" s="73">
        <v>30.88</v>
      </c>
      <c r="C9" s="77">
        <f t="shared" si="3"/>
        <v>5972.802939487484</v>
      </c>
      <c r="D9" s="76">
        <f t="shared" si="4"/>
        <v>1844.401547713735</v>
      </c>
      <c r="E9" s="73">
        <f>'Comp Roche'!K10</f>
        <v>28.779091329358902</v>
      </c>
      <c r="F9" s="77">
        <f t="shared" si="5"/>
        <v>4063.2624456822864</v>
      </c>
      <c r="G9" s="78">
        <f t="shared" si="0"/>
        <v>1169.3700101944473</v>
      </c>
      <c r="H9" s="77">
        <f t="shared" si="1"/>
        <v>675.0315375192877</v>
      </c>
      <c r="I9" s="77">
        <f t="shared" si="6"/>
        <v>1898.8459437715414</v>
      </c>
      <c r="J9" s="98">
        <f t="shared" si="2"/>
        <v>35.549568396187055</v>
      </c>
    </row>
    <row r="10" spans="1:10" ht="16.5" thickBot="1">
      <c r="A10" s="57" t="s">
        <v>10</v>
      </c>
      <c r="B10" s="73">
        <v>11.17</v>
      </c>
      <c r="C10" s="77">
        <f t="shared" si="3"/>
        <v>5972.802939487484</v>
      </c>
      <c r="D10" s="76">
        <f t="shared" si="4"/>
        <v>667.1620883407519</v>
      </c>
      <c r="E10" s="73">
        <f>'Comp Roche'!L10</f>
        <v>16.250234562782342</v>
      </c>
      <c r="F10" s="77">
        <f t="shared" si="5"/>
        <v>4063.2624456822864</v>
      </c>
      <c r="G10" s="78">
        <f t="shared" si="0"/>
        <v>660.2896783248179</v>
      </c>
      <c r="H10" s="77">
        <f t="shared" si="1"/>
        <v>6.872410015933951</v>
      </c>
      <c r="I10" s="77">
        <f t="shared" si="6"/>
        <v>1898.8459437715414</v>
      </c>
      <c r="J10" s="98">
        <f t="shared" si="2"/>
        <v>0.3619256232174252</v>
      </c>
    </row>
    <row r="11" spans="1:10" ht="16.5" thickBot="1">
      <c r="A11" s="57" t="s">
        <v>11</v>
      </c>
      <c r="B11" s="73">
        <v>1.45</v>
      </c>
      <c r="C11" s="77">
        <f t="shared" si="3"/>
        <v>5972.802939487484</v>
      </c>
      <c r="D11" s="76">
        <f t="shared" si="4"/>
        <v>86.60564262256852</v>
      </c>
      <c r="E11" s="73">
        <f>'Comp Roche'!M10</f>
        <v>6.5272304646189765</v>
      </c>
      <c r="F11" s="77">
        <f t="shared" si="5"/>
        <v>4063.2624456822864</v>
      </c>
      <c r="G11" s="78">
        <f t="shared" si="0"/>
        <v>265.2185042119963</v>
      </c>
      <c r="H11" s="77">
        <f t="shared" si="1"/>
        <v>-178.61286158942775</v>
      </c>
      <c r="I11" s="77">
        <f t="shared" si="6"/>
        <v>1898.8459437715414</v>
      </c>
      <c r="J11" s="101">
        <f t="shared" si="2"/>
        <v>-9.406390348585196</v>
      </c>
    </row>
    <row r="12" spans="1:10" ht="16.5" thickBot="1">
      <c r="A12" s="57" t="s">
        <v>12</v>
      </c>
      <c r="B12" s="73">
        <v>0.18</v>
      </c>
      <c r="C12" s="77">
        <f t="shared" si="3"/>
        <v>5972.802939487484</v>
      </c>
      <c r="D12" s="76">
        <f t="shared" si="4"/>
        <v>10.751045291077471</v>
      </c>
      <c r="E12" s="73">
        <f>'Comp Roche'!N10</f>
        <v>0</v>
      </c>
      <c r="F12" s="77">
        <f t="shared" si="5"/>
        <v>4063.2624456822864</v>
      </c>
      <c r="G12" s="78">
        <f t="shared" si="0"/>
        <v>0</v>
      </c>
      <c r="H12" s="77">
        <f t="shared" si="1"/>
        <v>10.751045291077471</v>
      </c>
      <c r="I12" s="77">
        <f t="shared" si="6"/>
        <v>1898.8459437715414</v>
      </c>
      <c r="J12" s="79">
        <f t="shared" si="2"/>
        <v>0.5661883907086975</v>
      </c>
    </row>
    <row r="13" spans="1:10" ht="16.5" thickBot="1">
      <c r="A13" s="57" t="s">
        <v>13</v>
      </c>
      <c r="B13" s="73">
        <v>0.03</v>
      </c>
      <c r="C13" s="77">
        <f t="shared" si="3"/>
        <v>5972.802939487484</v>
      </c>
      <c r="D13" s="76">
        <f t="shared" si="4"/>
        <v>1.791840881846245</v>
      </c>
      <c r="E13" s="73">
        <f>'Comp Roche'!O10</f>
        <v>0</v>
      </c>
      <c r="F13" s="77">
        <f t="shared" si="5"/>
        <v>4063.2624456822864</v>
      </c>
      <c r="G13" s="78">
        <f t="shared" si="0"/>
        <v>0</v>
      </c>
      <c r="H13" s="77">
        <f t="shared" si="1"/>
        <v>1.791840881846245</v>
      </c>
      <c r="I13" s="77">
        <f t="shared" si="6"/>
        <v>1898.8459437715414</v>
      </c>
      <c r="J13" s="79">
        <f t="shared" si="2"/>
        <v>0.09436473178478293</v>
      </c>
    </row>
    <row r="14" spans="1:10" ht="16.5" thickBot="1">
      <c r="A14" s="57" t="s">
        <v>14</v>
      </c>
      <c r="B14" s="73">
        <v>0</v>
      </c>
      <c r="C14" s="77">
        <f t="shared" si="3"/>
        <v>5972.802939487484</v>
      </c>
      <c r="D14" s="76">
        <f t="shared" si="4"/>
        <v>0</v>
      </c>
      <c r="E14" s="73">
        <f>'Comp Roche'!P10</f>
        <v>0</v>
      </c>
      <c r="F14" s="77">
        <f t="shared" si="5"/>
        <v>4063.2624456822864</v>
      </c>
      <c r="G14" s="78">
        <f t="shared" si="0"/>
        <v>0</v>
      </c>
      <c r="H14" s="77">
        <f t="shared" si="1"/>
        <v>0</v>
      </c>
      <c r="I14" s="77">
        <f t="shared" si="6"/>
        <v>1898.8459437715414</v>
      </c>
      <c r="J14" s="79">
        <f t="shared" si="2"/>
        <v>0</v>
      </c>
    </row>
    <row r="15" spans="1:10" ht="16.5" thickBot="1">
      <c r="A15" s="58" t="s">
        <v>15</v>
      </c>
      <c r="B15" s="74">
        <v>1.65</v>
      </c>
      <c r="C15" s="80">
        <f t="shared" si="3"/>
        <v>5972.802939487484</v>
      </c>
      <c r="D15" s="76">
        <f t="shared" si="4"/>
        <v>98.55124850154348</v>
      </c>
      <c r="E15" s="74">
        <f>'Comp Roche'!Q10</f>
        <v>0</v>
      </c>
      <c r="F15" s="77">
        <f t="shared" si="5"/>
        <v>4063.2624456822864</v>
      </c>
      <c r="G15" s="81">
        <f t="shared" si="0"/>
        <v>0</v>
      </c>
      <c r="H15" s="80">
        <f t="shared" si="1"/>
        <v>98.55124850154348</v>
      </c>
      <c r="I15" s="77">
        <f t="shared" si="6"/>
        <v>1898.8459437715414</v>
      </c>
      <c r="J15" s="99">
        <f t="shared" si="2"/>
        <v>5.1900602481630616</v>
      </c>
    </row>
    <row r="16" spans="1:10" ht="15">
      <c r="A16" s="52"/>
      <c r="B16" s="52"/>
      <c r="C16" s="52"/>
      <c r="D16" s="53"/>
      <c r="E16" s="54"/>
      <c r="F16" s="52"/>
      <c r="G16" s="53"/>
      <c r="H16" s="52"/>
      <c r="I16" s="52"/>
      <c r="J16" s="52"/>
    </row>
    <row r="17" spans="1:10" ht="15.75">
      <c r="A17" s="59" t="s">
        <v>46</v>
      </c>
      <c r="B17" s="60">
        <f>SUM(B5:B15)</f>
        <v>100.00000000000001</v>
      </c>
      <c r="C17" s="55"/>
      <c r="D17" s="102">
        <f>SUM(D5:D15)</f>
        <v>5972.802939487484</v>
      </c>
      <c r="E17" s="61">
        <f>SUM(E5:E15)</f>
        <v>100</v>
      </c>
      <c r="F17" s="55"/>
      <c r="G17" s="102">
        <f>SUM(G5:G15)</f>
        <v>4063.2624456822864</v>
      </c>
      <c r="H17" s="103">
        <f>SUM(H5:H15)</f>
        <v>1909.5404938051975</v>
      </c>
      <c r="I17" s="55"/>
      <c r="J17" s="62">
        <f>SUM(J5:J15)</f>
        <v>100.56321314895165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MJM</dc:creator>
  <cp:keywords/>
  <dc:description/>
  <cp:lastModifiedBy>Jmarc</cp:lastModifiedBy>
  <dcterms:created xsi:type="dcterms:W3CDTF">2005-03-28T18:23:54Z</dcterms:created>
  <dcterms:modified xsi:type="dcterms:W3CDTF">2008-04-20T17:47:04Z</dcterms:modified>
  <cp:category/>
  <cp:version/>
  <cp:contentType/>
  <cp:contentStatus/>
</cp:coreProperties>
</file>